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assnk-my.sharepoint.com/personal/tom-harada_classnk_or_jp/Documents/Documents/CII関係/"/>
    </mc:Choice>
  </mc:AlternateContent>
  <xr:revisionPtr revIDLastSave="116" documentId="8_{3D36B81E-9C55-4955-A2A1-8A505183E93F}" xr6:coauthVersionLast="47" xr6:coauthVersionMax="47" xr10:uidLastSave="{B9D06CCD-F797-408F-AF7C-363EC4579083}"/>
  <workbookProtection workbookAlgorithmName="SHA-512" workbookHashValue="KKxu7y1mOWLgV55P/spTP5lyYimI/OeO/bd/zlyLBDTIv+hXZLWp2KK55wAW8uBW2ExB2fFcCjLFyFrhBoOBnw==" workbookSaltValue="1tGH+i5bE24uatL133p10Q==" workbookSpinCount="100000" lockStructure="1"/>
  <bookViews>
    <workbookView xWindow="945" yWindow="-15765" windowWidth="26595" windowHeight="14415" xr2:uid="{19817EDB-0832-4E11-8E4E-875DA7F568E1}"/>
  </bookViews>
  <sheets>
    <sheet name="Main" sheetId="1" r:id="rId1"/>
    <sheet name="ship type" sheetId="2" state="hidden" r:id="rId2"/>
    <sheet name="ref CII" sheetId="3" state="hidden" r:id="rId3"/>
    <sheet name="reduction factor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C20" i="1" s="1"/>
  <c r="C17" i="1"/>
  <c r="N12" i="3"/>
  <c r="N4" i="3"/>
  <c r="C16" i="1"/>
  <c r="E7" i="1"/>
  <c r="D4" i="1"/>
  <c r="H15" i="3"/>
  <c r="F20" i="3"/>
  <c r="H20" i="3" s="1"/>
  <c r="F19" i="3"/>
  <c r="F18" i="3"/>
  <c r="I18" i="3" s="1"/>
  <c r="H14" i="3"/>
  <c r="F16" i="3"/>
  <c r="H16" i="3" s="1"/>
  <c r="F17" i="3"/>
  <c r="I15" i="3" l="1"/>
  <c r="I20" i="3"/>
  <c r="H17" i="3"/>
  <c r="F13" i="3"/>
  <c r="H13" i="3" s="1"/>
  <c r="H3" i="3"/>
  <c r="F12" i="3"/>
  <c r="H12" i="3" s="1"/>
  <c r="I12" i="3" l="1"/>
  <c r="F2" i="3"/>
  <c r="F21" i="3"/>
  <c r="F4" i="3"/>
  <c r="F5" i="3"/>
  <c r="H5" i="3" s="1"/>
  <c r="F6" i="3"/>
  <c r="F7" i="3"/>
  <c r="F8" i="3"/>
  <c r="F9" i="3"/>
  <c r="H9" i="3" s="1"/>
  <c r="F10" i="3"/>
  <c r="F11" i="3"/>
  <c r="E8" i="1"/>
  <c r="E9" i="1"/>
  <c r="E10" i="1"/>
  <c r="E11" i="1"/>
  <c r="E12" i="1"/>
  <c r="E13" i="1"/>
  <c r="E14" i="1"/>
  <c r="D22" i="1" l="1"/>
  <c r="C21" i="1"/>
  <c r="I2" i="3"/>
  <c r="H2" i="3"/>
  <c r="I4" i="3"/>
  <c r="I21" i="3"/>
  <c r="H21" i="3"/>
  <c r="H19" i="3"/>
  <c r="I19" i="3"/>
  <c r="H4" i="3"/>
  <c r="H11" i="3"/>
  <c r="I11" i="3"/>
  <c r="I7" i="3"/>
  <c r="H7" i="3"/>
  <c r="I8" i="3"/>
  <c r="H8" i="3"/>
  <c r="I10" i="3"/>
  <c r="H10" i="3"/>
  <c r="I6" i="3"/>
  <c r="H6" i="3"/>
  <c r="H18" i="3"/>
  <c r="Q2" i="3" l="1"/>
  <c r="O2" i="3"/>
  <c r="P2" i="3"/>
  <c r="N2" i="3"/>
  <c r="Q4" i="3"/>
  <c r="P4" i="3"/>
  <c r="O4" i="3"/>
  <c r="P12" i="3"/>
  <c r="F22" i="1" s="1"/>
  <c r="O12" i="3"/>
  <c r="E22" i="1" s="1"/>
  <c r="Q12" i="3"/>
  <c r="G22" i="1" s="1"/>
  <c r="C22" i="1" s="1"/>
</calcChain>
</file>

<file path=xl/sharedStrings.xml><?xml version="1.0" encoding="utf-8"?>
<sst xmlns="http://schemas.openxmlformats.org/spreadsheetml/2006/main" count="112" uniqueCount="78">
  <si>
    <t>Ship Name</t>
    <phoneticPr fontId="3"/>
  </si>
  <si>
    <t>IMO Number</t>
    <phoneticPr fontId="3"/>
  </si>
  <si>
    <t>Ship Type</t>
  </si>
  <si>
    <t>Ship Type</t>
    <phoneticPr fontId="3"/>
  </si>
  <si>
    <t>Deadweight</t>
    <phoneticPr fontId="3"/>
  </si>
  <si>
    <t>Gross Tonnage</t>
    <phoneticPr fontId="3"/>
  </si>
  <si>
    <t>HFO</t>
  </si>
  <si>
    <t>LFO</t>
  </si>
  <si>
    <t>Diesel/Gas Oil</t>
  </si>
  <si>
    <t>LPG(Propane)</t>
  </si>
  <si>
    <t>LPG(Butane)</t>
  </si>
  <si>
    <t>LNG</t>
  </si>
  <si>
    <t>Methanol</t>
  </si>
  <si>
    <t>Ethanol</t>
  </si>
  <si>
    <t>Distance Travelled (nm)</t>
    <phoneticPr fontId="3"/>
  </si>
  <si>
    <t>Fuel Consumption (ton)</t>
    <phoneticPr fontId="3"/>
  </si>
  <si>
    <t>Ship Particular</t>
    <phoneticPr fontId="3"/>
  </si>
  <si>
    <t>Bulk carrier</t>
    <phoneticPr fontId="3"/>
  </si>
  <si>
    <t>Tanker</t>
  </si>
  <si>
    <t>Tanker</t>
    <phoneticPr fontId="3"/>
  </si>
  <si>
    <t>Container ship</t>
  </si>
  <si>
    <t>Container ship</t>
    <phoneticPr fontId="3"/>
  </si>
  <si>
    <t>Gas carrier</t>
    <phoneticPr fontId="3"/>
  </si>
  <si>
    <t>LNG carrier</t>
    <phoneticPr fontId="3"/>
  </si>
  <si>
    <t>Ro-ro cargo ship</t>
    <phoneticPr fontId="3"/>
  </si>
  <si>
    <t>General cargo ship</t>
    <phoneticPr fontId="3"/>
  </si>
  <si>
    <t>Combination carrier</t>
    <phoneticPr fontId="3"/>
  </si>
  <si>
    <t>Refrigerated cargo carrier</t>
    <phoneticPr fontId="3"/>
  </si>
  <si>
    <t>Cruise passenger ship</t>
  </si>
  <si>
    <t>Cruise passenger ship</t>
    <phoneticPr fontId="3"/>
  </si>
  <si>
    <t>Ro-ro cargo ship (vehicle carrier)</t>
    <phoneticPr fontId="3"/>
  </si>
  <si>
    <t>Ro-ro passenger ship</t>
    <phoneticPr fontId="3"/>
  </si>
  <si>
    <t>Attained CII</t>
    <phoneticPr fontId="3"/>
  </si>
  <si>
    <t>CO2 Emission</t>
    <phoneticPr fontId="3"/>
  </si>
  <si>
    <t>CII ref</t>
    <phoneticPr fontId="3"/>
  </si>
  <si>
    <t xml:space="preserve">Capacity  </t>
  </si>
  <si>
    <t>a</t>
  </si>
  <si>
    <t>c</t>
  </si>
  <si>
    <t>DWT</t>
  </si>
  <si>
    <t>Gas Carrier</t>
  </si>
  <si>
    <t>DWT ≥ 65,000</t>
  </si>
  <si>
    <t>DWT &lt; 65,000</t>
  </si>
  <si>
    <t xml:space="preserve">General cargo ship  </t>
  </si>
  <si>
    <t>DWT ≥ 20,000</t>
  </si>
  <si>
    <t>DWT &lt; 20,000</t>
  </si>
  <si>
    <t xml:space="preserve">Refrigerated cargo carrier </t>
  </si>
  <si>
    <t xml:space="preserve">Combination carrier  </t>
  </si>
  <si>
    <t>LNG Carrier</t>
  </si>
  <si>
    <t>DWT ≥ 100,000</t>
  </si>
  <si>
    <t>100,000 &gt; DWT ≥ 65,000</t>
  </si>
  <si>
    <t xml:space="preserve">Ro-ro cargo ship (VC)  </t>
  </si>
  <si>
    <t>GT</t>
  </si>
  <si>
    <t xml:space="preserve">Ro-ro cargo ship  </t>
  </si>
  <si>
    <t xml:space="preserve">Ro-ro passenger ship  </t>
  </si>
  <si>
    <t>DWT</t>
    <phoneticPr fontId="3"/>
  </si>
  <si>
    <t>Required CII</t>
    <phoneticPr fontId="3"/>
  </si>
  <si>
    <t>Rating Year</t>
    <phoneticPr fontId="3"/>
  </si>
  <si>
    <t>d1</t>
  </si>
  <si>
    <t>d2</t>
  </si>
  <si>
    <t>d3</t>
  </si>
  <si>
    <t>d4</t>
  </si>
  <si>
    <t>Attained CII / Required CII</t>
    <phoneticPr fontId="3"/>
  </si>
  <si>
    <t>CII Rating</t>
    <phoneticPr fontId="3"/>
  </si>
  <si>
    <r>
      <t xml:space="preserve">CII Calculation
</t>
    </r>
    <r>
      <rPr>
        <b/>
        <sz val="9"/>
        <color theme="3"/>
        <rFont val="游ゴシック"/>
        <family val="3"/>
        <charset val="128"/>
        <scheme val="minor"/>
      </rPr>
      <t>*Please input blue cells</t>
    </r>
    <phoneticPr fontId="3"/>
  </si>
  <si>
    <t>DWT</t>
    <phoneticPr fontId="3"/>
  </si>
  <si>
    <t>NK bulker</t>
    <phoneticPr fontId="3"/>
  </si>
  <si>
    <t>DWT &lt; 279000</t>
    <phoneticPr fontId="3"/>
  </si>
  <si>
    <t>DWT ≥ 279000</t>
    <phoneticPr fontId="3"/>
  </si>
  <si>
    <t>57700 &gt; GT</t>
    <phoneticPr fontId="3"/>
  </si>
  <si>
    <t>30000 &lt; GT &lt; 57700</t>
    <phoneticPr fontId="3"/>
  </si>
  <si>
    <t>30000 &gt; GT</t>
    <phoneticPr fontId="3"/>
  </si>
  <si>
    <t>GT</t>
    <phoneticPr fontId="3"/>
  </si>
  <si>
    <t>High speed craft (SOLAS X)</t>
    <phoneticPr fontId="3"/>
  </si>
  <si>
    <t>Ro-ro passenger ship (High speed cfaft (SOLAS X)</t>
    <phoneticPr fontId="3"/>
  </si>
  <si>
    <t>DWT/GT</t>
    <phoneticPr fontId="3"/>
  </si>
  <si>
    <t>Version 0.5 June 2022</t>
    <phoneticPr fontId="3"/>
  </si>
  <si>
    <t>GT</t>
    <phoneticPr fontId="3"/>
  </si>
  <si>
    <t>Bulk carrier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</si>
</sst>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0.000_ "/>
  </numFmts>
  <fonts count="7" x14ac:knownFonts="1"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3"/>
      <name val="游ゴシック"/>
      <family val="2"/>
      <charset val="128"/>
      <scheme val="minor"/>
    </font>
    <font>
      <b/>
      <sz val="9"/>
      <color theme="3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theme="4" tint="0.39997558519241921"/>
      </bottom>
      <diagonal/>
    </border>
    <border>
      <left/>
      <right/>
      <top style="medium">
        <color indexed="64"/>
      </top>
      <bottom style="medium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medium">
        <color theme="4" tint="0.39997558519241921"/>
      </bottom>
      <diagonal/>
    </border>
    <border>
      <left style="medium">
        <color indexed="64"/>
      </left>
      <right/>
      <top/>
      <bottom style="medium">
        <color theme="4" tint="0.39997558519241921"/>
      </bottom>
      <diagonal/>
    </border>
    <border>
      <left/>
      <right style="medium">
        <color indexed="64"/>
      </right>
      <top/>
      <bottom style="medium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1" applyNumberFormat="0" applyFill="0" applyAlignment="0" applyProtection="0">
      <alignment vertical="center"/>
    </xf>
  </cellStyleXfs>
  <cellXfs count="23">
    <xf numFmtId="0" fontId="0" fillId="0" borderId="0" xfId="0">
      <alignment vertical="center"/>
    </xf>
    <xf numFmtId="3" fontId="0" fillId="0" borderId="0" xfId="0" applyNumberFormat="1">
      <alignment vertical="center"/>
    </xf>
    <xf numFmtId="11" fontId="0" fillId="0" borderId="0" xfId="0" applyNumberFormat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1" fillId="2" borderId="5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4" xfId="1" applyFill="1" applyBorder="1">
      <alignment vertical="center"/>
    </xf>
    <xf numFmtId="0" fontId="1" fillId="2" borderId="6" xfId="1" applyFill="1" applyBorder="1">
      <alignment vertical="center"/>
    </xf>
    <xf numFmtId="0" fontId="1" fillId="2" borderId="8" xfId="1" applyFill="1" applyBorder="1">
      <alignment vertical="center"/>
    </xf>
    <xf numFmtId="177" fontId="1" fillId="3" borderId="6" xfId="1" applyNumberFormat="1" applyFill="1" applyBorder="1" applyAlignment="1">
      <alignment horizontal="center" vertical="center"/>
    </xf>
    <xf numFmtId="176" fontId="1" fillId="3" borderId="6" xfId="1" applyNumberFormat="1" applyFill="1" applyBorder="1" applyAlignment="1">
      <alignment horizontal="center" vertical="center"/>
    </xf>
    <xf numFmtId="178" fontId="1" fillId="3" borderId="6" xfId="1" applyNumberFormat="1" applyFill="1" applyBorder="1" applyAlignment="1">
      <alignment horizontal="center" vertical="center"/>
    </xf>
    <xf numFmtId="0" fontId="1" fillId="3" borderId="8" xfId="1" applyFill="1" applyBorder="1" applyAlignment="1">
      <alignment horizontal="center" vertical="center"/>
    </xf>
    <xf numFmtId="0" fontId="0" fillId="2" borderId="0" xfId="0" applyFill="1" applyAlignment="1">
      <alignment horizontal="right" wrapText="1"/>
    </xf>
    <xf numFmtId="0" fontId="1" fillId="4" borderId="4" xfId="1" applyFill="1" applyBorder="1" applyAlignment="1" applyProtection="1">
      <alignment horizontal="center" vertical="center"/>
      <protection locked="0"/>
    </xf>
    <xf numFmtId="0" fontId="1" fillId="4" borderId="6" xfId="1" applyFill="1" applyBorder="1" applyAlignment="1" applyProtection="1">
      <alignment horizontal="center" vertical="center"/>
      <protection locked="0"/>
    </xf>
    <xf numFmtId="177" fontId="1" fillId="4" borderId="6" xfId="1" applyNumberFormat="1" applyFill="1" applyBorder="1" applyAlignment="1" applyProtection="1">
      <alignment horizontal="center" vertical="center"/>
      <protection locked="0"/>
    </xf>
    <xf numFmtId="0" fontId="4" fillId="2" borderId="3" xfId="1" applyFont="1" applyFill="1" applyBorder="1" applyAlignment="1">
      <alignment vertical="center" wrapText="1"/>
    </xf>
    <xf numFmtId="0" fontId="6" fillId="2" borderId="0" xfId="0" applyFont="1" applyFill="1">
      <alignment vertical="center"/>
    </xf>
    <xf numFmtId="0" fontId="1" fillId="2" borderId="5" xfId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</cellXfs>
  <cellStyles count="2">
    <cellStyle name="Heading 3" xfId="1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267419</xdr:colOff>
      <xdr:row>0</xdr:row>
      <xdr:rowOff>138022</xdr:rowOff>
    </xdr:from>
    <xdr:to>
      <xdr:col>2</xdr:col>
      <xdr:colOff>1561232</xdr:colOff>
      <xdr:row>0</xdr:row>
      <xdr:rowOff>453935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1B8CB118-EA35-4845-99DF-F453BCA66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3094" y="138022"/>
          <a:ext cx="1293813" cy="3159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F3E71-9D94-4833-82E7-7BCADE0BB0C4}">
  <dimension ref="A1:H22"/>
  <sheetViews>
    <sheetView tabSelected="1" workbookViewId="0">
      <selection activeCell="J9" sqref="J9"/>
    </sheetView>
  </sheetViews>
  <sheetFormatPr defaultColWidth="8.875" defaultRowHeight="18.75" x14ac:dyDescent="0.4"/>
  <cols>
    <col min="1" max="1" width="24.875" style="3" customWidth="1"/>
    <col min="2" max="2" width="18.375" style="3" customWidth="1"/>
    <col min="3" max="3" width="21.25" style="3" customWidth="1"/>
    <col min="4" max="16384" width="8.875" style="3"/>
  </cols>
  <sheetData>
    <row r="1" spans="1:8" ht="53.65" customHeight="1" thickBot="1" x14ac:dyDescent="0.45">
      <c r="A1" s="18" t="s">
        <v>63</v>
      </c>
      <c r="C1" s="14" t="s">
        <v>75</v>
      </c>
    </row>
    <row r="2" spans="1:8" ht="19.5" thickBot="1" x14ac:dyDescent="0.45">
      <c r="A2" s="21" t="s">
        <v>16</v>
      </c>
      <c r="B2" s="7" t="s">
        <v>1</v>
      </c>
      <c r="C2" s="15">
        <v>1111111</v>
      </c>
    </row>
    <row r="3" spans="1:8" ht="19.5" thickBot="1" x14ac:dyDescent="0.45">
      <c r="A3" s="22"/>
      <c r="B3" s="8" t="s">
        <v>0</v>
      </c>
      <c r="C3" s="16" t="s">
        <v>65</v>
      </c>
    </row>
    <row r="4" spans="1:8" ht="19.5" thickBot="1" x14ac:dyDescent="0.45">
      <c r="A4" s="22"/>
      <c r="B4" s="8" t="s">
        <v>3</v>
      </c>
      <c r="C4" s="16" t="s">
        <v>77</v>
      </c>
      <c r="D4" s="4">
        <f>VLOOKUP(C4,'ship type'!A1:B13,2,FALSE)</f>
        <v>1</v>
      </c>
      <c r="E4" s="4"/>
      <c r="F4" s="4"/>
      <c r="G4" s="4"/>
      <c r="H4" s="4"/>
    </row>
    <row r="5" spans="1:8" ht="19.5" thickBot="1" x14ac:dyDescent="0.45">
      <c r="A5" s="22"/>
      <c r="B5" s="8" t="s">
        <v>4</v>
      </c>
      <c r="C5" s="17">
        <v>290000</v>
      </c>
      <c r="D5" s="4"/>
      <c r="E5" s="4"/>
      <c r="F5" s="4"/>
      <c r="G5" s="4"/>
      <c r="H5" s="4"/>
    </row>
    <row r="6" spans="1:8" ht="19.5" thickBot="1" x14ac:dyDescent="0.45">
      <c r="A6" s="22"/>
      <c r="B6" s="8" t="s">
        <v>5</v>
      </c>
      <c r="C6" s="17">
        <v>40000</v>
      </c>
      <c r="D6" s="4"/>
      <c r="E6" s="4"/>
      <c r="F6" s="4"/>
      <c r="G6" s="4"/>
      <c r="H6" s="4"/>
    </row>
    <row r="7" spans="1:8" ht="19.5" thickBot="1" x14ac:dyDescent="0.45">
      <c r="A7" s="20" t="s">
        <v>15</v>
      </c>
      <c r="B7" s="8" t="s">
        <v>8</v>
      </c>
      <c r="C7" s="17">
        <v>563</v>
      </c>
      <c r="D7" s="4">
        <v>3.206</v>
      </c>
      <c r="E7" s="4">
        <f>C7*D7</f>
        <v>1804.9780000000001</v>
      </c>
      <c r="F7" s="4"/>
      <c r="G7" s="4"/>
      <c r="H7" s="4"/>
    </row>
    <row r="8" spans="1:8" ht="19.5" thickBot="1" x14ac:dyDescent="0.45">
      <c r="A8" s="20"/>
      <c r="B8" s="8" t="s">
        <v>7</v>
      </c>
      <c r="C8" s="17"/>
      <c r="D8" s="4">
        <v>3.1509999999999998</v>
      </c>
      <c r="E8" s="4">
        <f t="shared" ref="E8:E14" si="0">C8*D8</f>
        <v>0</v>
      </c>
      <c r="F8" s="4"/>
      <c r="G8" s="4"/>
      <c r="H8" s="4"/>
    </row>
    <row r="9" spans="1:8" ht="19.5" thickBot="1" x14ac:dyDescent="0.45">
      <c r="A9" s="20"/>
      <c r="B9" s="8" t="s">
        <v>6</v>
      </c>
      <c r="C9" s="17">
        <v>3580</v>
      </c>
      <c r="D9" s="4">
        <v>3.1139999999999999</v>
      </c>
      <c r="E9" s="4">
        <f t="shared" si="0"/>
        <v>11148.119999999999</v>
      </c>
      <c r="F9" s="4"/>
      <c r="G9" s="4"/>
      <c r="H9" s="4"/>
    </row>
    <row r="10" spans="1:8" ht="19.5" thickBot="1" x14ac:dyDescent="0.45">
      <c r="A10" s="20"/>
      <c r="B10" s="8" t="s">
        <v>9</v>
      </c>
      <c r="C10" s="17"/>
      <c r="D10" s="4">
        <v>3</v>
      </c>
      <c r="E10" s="4">
        <f t="shared" si="0"/>
        <v>0</v>
      </c>
      <c r="F10" s="4"/>
      <c r="G10" s="4"/>
      <c r="H10" s="4"/>
    </row>
    <row r="11" spans="1:8" ht="19.5" thickBot="1" x14ac:dyDescent="0.45">
      <c r="A11" s="20"/>
      <c r="B11" s="8" t="s">
        <v>10</v>
      </c>
      <c r="C11" s="17"/>
      <c r="D11" s="4">
        <v>3.03</v>
      </c>
      <c r="E11" s="4">
        <f t="shared" si="0"/>
        <v>0</v>
      </c>
      <c r="F11" s="4"/>
      <c r="G11" s="4"/>
      <c r="H11" s="4"/>
    </row>
    <row r="12" spans="1:8" ht="19.5" thickBot="1" x14ac:dyDescent="0.45">
      <c r="A12" s="20"/>
      <c r="B12" s="8" t="s">
        <v>11</v>
      </c>
      <c r="C12" s="17"/>
      <c r="D12" s="4">
        <v>2.75</v>
      </c>
      <c r="E12" s="4">
        <f t="shared" si="0"/>
        <v>0</v>
      </c>
      <c r="F12" s="4"/>
      <c r="G12" s="4"/>
      <c r="H12" s="4"/>
    </row>
    <row r="13" spans="1:8" ht="19.5" thickBot="1" x14ac:dyDescent="0.45">
      <c r="A13" s="20"/>
      <c r="B13" s="8" t="s">
        <v>12</v>
      </c>
      <c r="C13" s="17"/>
      <c r="D13" s="4">
        <v>1.375</v>
      </c>
      <c r="E13" s="4">
        <f t="shared" si="0"/>
        <v>0</v>
      </c>
      <c r="F13" s="4"/>
      <c r="G13" s="4"/>
      <c r="H13" s="4"/>
    </row>
    <row r="14" spans="1:8" ht="19.5" thickBot="1" x14ac:dyDescent="0.45">
      <c r="A14" s="20"/>
      <c r="B14" s="8" t="s">
        <v>13</v>
      </c>
      <c r="C14" s="17"/>
      <c r="D14" s="4">
        <v>1.913</v>
      </c>
      <c r="E14" s="4">
        <f t="shared" si="0"/>
        <v>0</v>
      </c>
      <c r="F14" s="4"/>
      <c r="G14" s="4"/>
      <c r="H14" s="4"/>
    </row>
    <row r="15" spans="1:8" ht="19.5" thickBot="1" x14ac:dyDescent="0.45">
      <c r="A15" s="5" t="s">
        <v>14</v>
      </c>
      <c r="B15" s="8"/>
      <c r="C15" s="17">
        <v>54289</v>
      </c>
      <c r="D15" s="4"/>
      <c r="E15" s="4"/>
      <c r="F15" s="4"/>
      <c r="G15" s="4"/>
      <c r="H15" s="4"/>
    </row>
    <row r="16" spans="1:8" ht="19.5" thickBot="1" x14ac:dyDescent="0.45">
      <c r="A16" s="5" t="s">
        <v>33</v>
      </c>
      <c r="B16" s="8"/>
      <c r="C16" s="10">
        <f>SUM(E7:E14)</f>
        <v>12953.097999999998</v>
      </c>
      <c r="D16" s="4"/>
      <c r="E16" s="4"/>
      <c r="F16" s="4"/>
      <c r="G16" s="4"/>
      <c r="H16" s="4"/>
    </row>
    <row r="17" spans="1:8" ht="19.5" thickBot="1" x14ac:dyDescent="0.45">
      <c r="A17" s="5" t="s">
        <v>32</v>
      </c>
      <c r="B17" s="8"/>
      <c r="C17" s="11">
        <f>IF(D4&lt;9,10^6*C16/(C5*C15),10^6*C16/(C15*C6))</f>
        <v>0.82274227140698464</v>
      </c>
      <c r="D17" s="4"/>
      <c r="E17" s="4"/>
      <c r="F17" s="4"/>
      <c r="G17" s="4"/>
      <c r="H17" s="4"/>
    </row>
    <row r="18" spans="1:8" ht="19.5" thickBot="1" x14ac:dyDescent="0.45">
      <c r="A18" s="5" t="s">
        <v>34</v>
      </c>
      <c r="B18" s="8"/>
      <c r="C18" s="11">
        <f>VLOOKUP(D4,'ref CII'!G2:I21,3,FALSE)</f>
        <v>1.9456754643505263</v>
      </c>
      <c r="D18" s="4"/>
      <c r="E18" s="4"/>
      <c r="F18" s="4"/>
      <c r="G18" s="4"/>
      <c r="H18" s="4"/>
    </row>
    <row r="19" spans="1:8" ht="19.5" thickBot="1" x14ac:dyDescent="0.45">
      <c r="A19" s="5" t="s">
        <v>56</v>
      </c>
      <c r="B19" s="8"/>
      <c r="C19" s="16">
        <v>2023</v>
      </c>
      <c r="D19" s="4"/>
      <c r="E19" s="4"/>
      <c r="F19" s="4"/>
      <c r="G19" s="4"/>
      <c r="H19" s="4"/>
    </row>
    <row r="20" spans="1:8" ht="19.5" thickBot="1" x14ac:dyDescent="0.45">
      <c r="A20" s="5" t="s">
        <v>55</v>
      </c>
      <c r="B20" s="8"/>
      <c r="C20" s="11">
        <f>C18*(100-VLOOKUP(C19,'reduction factor'!A1:B4,2,FALSE))/100</f>
        <v>1.8483916911329998</v>
      </c>
      <c r="D20" s="4"/>
      <c r="E20" s="4"/>
      <c r="F20" s="4"/>
      <c r="G20" s="4"/>
      <c r="H20" s="4"/>
    </row>
    <row r="21" spans="1:8" ht="19.5" thickBot="1" x14ac:dyDescent="0.45">
      <c r="A21" s="5" t="s">
        <v>61</v>
      </c>
      <c r="B21" s="8"/>
      <c r="C21" s="12">
        <f>C17/C20</f>
        <v>0.44511251341033253</v>
      </c>
      <c r="D21" s="4"/>
      <c r="E21" s="4"/>
      <c r="F21" s="4"/>
      <c r="G21" s="4"/>
      <c r="H21" s="4"/>
    </row>
    <row r="22" spans="1:8" ht="19.5" thickBot="1" x14ac:dyDescent="0.45">
      <c r="A22" s="6" t="s">
        <v>62</v>
      </c>
      <c r="B22" s="9"/>
      <c r="C22" s="13" t="str">
        <f>IF(C21&lt;D22,"A",IF(C21&lt;E22,"B",IF(C21&lt;F22,"C",IF(C21&lt;G22,"D","E"))))</f>
        <v>A</v>
      </c>
      <c r="D22" s="4">
        <f>VLOOKUP(D4,'ref CII'!G2:Q21,8,FALSE)</f>
        <v>0.86</v>
      </c>
      <c r="E22" s="4">
        <f>VLOOKUP(D4,'ref CII'!G2:Q21,9,FALSE)</f>
        <v>0.94</v>
      </c>
      <c r="F22" s="4">
        <f>VLOOKUP(D4,'ref CII'!G2:Q21,10,FALSE)</f>
        <v>1.06</v>
      </c>
      <c r="G22" s="4">
        <f>VLOOKUP(D4,'ref CII'!G2:Q21,11,FALSE)</f>
        <v>1.18</v>
      </c>
      <c r="H22" s="19"/>
    </row>
  </sheetData>
  <sheetProtection algorithmName="SHA-512" hashValue="rLekXmdbCDmA3bzQj+OgPdFIxrNaDLkQKNZsFy7Z4zvpa28zmy4V4mNoWJuwU644u8EIEXufS/OSaes/mGakEg==" saltValue="QBvqxfec1zzJPlwU5Tntkg==" spinCount="100000" sheet="1" objects="1" scenarios="1"/>
  <mergeCells count="2">
    <mergeCell ref="A7:A14"/>
    <mergeCell ref="A2:A6"/>
  </mergeCells>
  <phoneticPr fontId="3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46776CF-924C-49F7-A28D-861DBE6A8566}">
          <x14:formula1>
            <xm:f>'reduction factor'!$A$1:$A$4</xm:f>
          </x14:formula1>
          <xm:sqref>C19</xm:sqref>
        </x14:dataValidation>
        <x14:dataValidation type="list" allowBlank="1" showInputMessage="1" showErrorMessage="1" xr:uid="{81B02C6D-B159-4483-8EC0-6E8991934645}">
          <x14:formula1>
            <xm:f>'ship type'!$A$1:$A$13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28C96-6335-4138-9984-7953D4DD44CA}">
  <dimension ref="A1:C13"/>
  <sheetViews>
    <sheetView workbookViewId="0">
      <selection activeCell="C18" sqref="C18"/>
    </sheetView>
  </sheetViews>
  <sheetFormatPr defaultRowHeight="18.75" x14ac:dyDescent="0.4"/>
  <cols>
    <col min="1" max="1" width="46.5" customWidth="1"/>
  </cols>
  <sheetData>
    <row r="1" spans="1:3" x14ac:dyDescent="0.4">
      <c r="A1" t="s">
        <v>17</v>
      </c>
      <c r="B1">
        <v>1</v>
      </c>
      <c r="C1" t="s">
        <v>38</v>
      </c>
    </row>
    <row r="2" spans="1:3" x14ac:dyDescent="0.4">
      <c r="A2" t="s">
        <v>22</v>
      </c>
      <c r="B2">
        <v>2</v>
      </c>
      <c r="C2" t="s">
        <v>38</v>
      </c>
    </row>
    <row r="3" spans="1:3" x14ac:dyDescent="0.4">
      <c r="A3" t="s">
        <v>19</v>
      </c>
      <c r="B3">
        <v>3</v>
      </c>
      <c r="C3" t="s">
        <v>38</v>
      </c>
    </row>
    <row r="4" spans="1:3" x14ac:dyDescent="0.4">
      <c r="A4" t="s">
        <v>21</v>
      </c>
      <c r="B4">
        <v>4</v>
      </c>
      <c r="C4" t="s">
        <v>38</v>
      </c>
    </row>
    <row r="5" spans="1:3" x14ac:dyDescent="0.4">
      <c r="A5" t="s">
        <v>25</v>
      </c>
      <c r="B5">
        <v>5</v>
      </c>
      <c r="C5" t="s">
        <v>38</v>
      </c>
    </row>
    <row r="6" spans="1:3" x14ac:dyDescent="0.4">
      <c r="A6" t="s">
        <v>27</v>
      </c>
      <c r="B6">
        <v>6</v>
      </c>
      <c r="C6" t="s">
        <v>38</v>
      </c>
    </row>
    <row r="7" spans="1:3" x14ac:dyDescent="0.4">
      <c r="A7" t="s">
        <v>26</v>
      </c>
      <c r="B7">
        <v>7</v>
      </c>
      <c r="C7" t="s">
        <v>38</v>
      </c>
    </row>
    <row r="8" spans="1:3" x14ac:dyDescent="0.4">
      <c r="A8" t="s">
        <v>23</v>
      </c>
      <c r="B8">
        <v>8</v>
      </c>
      <c r="C8" t="s">
        <v>38</v>
      </c>
    </row>
    <row r="9" spans="1:3" x14ac:dyDescent="0.4">
      <c r="A9" t="s">
        <v>30</v>
      </c>
      <c r="B9">
        <v>9</v>
      </c>
      <c r="C9" t="s">
        <v>76</v>
      </c>
    </row>
    <row r="10" spans="1:3" x14ac:dyDescent="0.4">
      <c r="A10" t="s">
        <v>24</v>
      </c>
      <c r="B10">
        <v>10</v>
      </c>
      <c r="C10" t="s">
        <v>76</v>
      </c>
    </row>
    <row r="11" spans="1:3" x14ac:dyDescent="0.4">
      <c r="A11" t="s">
        <v>31</v>
      </c>
      <c r="B11">
        <v>11</v>
      </c>
      <c r="C11" t="s">
        <v>76</v>
      </c>
    </row>
    <row r="12" spans="1:3" x14ac:dyDescent="0.4">
      <c r="A12" t="s">
        <v>73</v>
      </c>
      <c r="B12">
        <v>12</v>
      </c>
      <c r="C12" t="s">
        <v>76</v>
      </c>
    </row>
    <row r="13" spans="1:3" x14ac:dyDescent="0.4">
      <c r="A13" t="s">
        <v>29</v>
      </c>
      <c r="B13">
        <v>13</v>
      </c>
      <c r="C13" t="s">
        <v>76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CFBB6-5CDC-46EF-A742-788EAA361477}">
  <dimension ref="A1:Q21"/>
  <sheetViews>
    <sheetView zoomScale="85" zoomScaleNormal="85" workbookViewId="0">
      <selection activeCell="C18" sqref="C18"/>
    </sheetView>
  </sheetViews>
  <sheetFormatPr defaultRowHeight="18.75" x14ac:dyDescent="0.4"/>
  <cols>
    <col min="1" max="1" width="24.5" customWidth="1"/>
    <col min="2" max="2" width="20.25" customWidth="1"/>
    <col min="4" max="4" width="15" customWidth="1"/>
    <col min="9" max="9" width="8.5" customWidth="1"/>
  </cols>
  <sheetData>
    <row r="1" spans="1:17" x14ac:dyDescent="0.4">
      <c r="A1" t="s">
        <v>2</v>
      </c>
      <c r="C1" t="s">
        <v>35</v>
      </c>
      <c r="D1" t="s">
        <v>36</v>
      </c>
      <c r="E1" t="s">
        <v>37</v>
      </c>
      <c r="F1" t="s">
        <v>74</v>
      </c>
      <c r="I1" t="s">
        <v>34</v>
      </c>
      <c r="J1" t="s">
        <v>57</v>
      </c>
      <c r="K1" t="s">
        <v>58</v>
      </c>
      <c r="L1" t="s">
        <v>59</v>
      </c>
      <c r="M1" t="s">
        <v>60</v>
      </c>
    </row>
    <row r="2" spans="1:17" x14ac:dyDescent="0.4">
      <c r="A2" t="s">
        <v>17</v>
      </c>
      <c r="B2" t="s">
        <v>66</v>
      </c>
      <c r="C2" s="1" t="s">
        <v>54</v>
      </c>
      <c r="D2">
        <v>4745</v>
      </c>
      <c r="E2">
        <v>0.622</v>
      </c>
      <c r="F2">
        <f>Main!$C$5</f>
        <v>290000</v>
      </c>
      <c r="G2">
        <v>1</v>
      </c>
      <c r="H2">
        <f>D2*F2^(-E2)</f>
        <v>1.8994359875063886</v>
      </c>
      <c r="I2">
        <f>IF(Main!C5&gt;279000,D2*279000^(-E2),D2*F2^(-E2))</f>
        <v>1.9456754643505263</v>
      </c>
      <c r="J2">
        <v>0.86</v>
      </c>
      <c r="K2">
        <v>0.94</v>
      </c>
      <c r="L2">
        <v>1.06</v>
      </c>
      <c r="M2">
        <v>1.18</v>
      </c>
      <c r="N2">
        <f>IF($H$2=$I$2,J2,J3)</f>
        <v>0.86</v>
      </c>
      <c r="O2">
        <f t="shared" ref="O2:Q2" si="0">IF($H$2=$I$2,K2,K3)</f>
        <v>0.94</v>
      </c>
      <c r="P2">
        <f t="shared" si="0"/>
        <v>1.06</v>
      </c>
      <c r="Q2">
        <f t="shared" si="0"/>
        <v>1.18</v>
      </c>
    </row>
    <row r="3" spans="1:17" x14ac:dyDescent="0.4">
      <c r="A3" t="s">
        <v>17</v>
      </c>
      <c r="B3" t="s">
        <v>67</v>
      </c>
      <c r="C3" s="1">
        <v>279000</v>
      </c>
      <c r="D3">
        <v>4745</v>
      </c>
      <c r="E3">
        <v>0.622</v>
      </c>
      <c r="F3">
        <v>279000</v>
      </c>
      <c r="H3">
        <f t="shared" ref="H3:H19" si="1">D3*F3^(-E3)</f>
        <v>1.9456754643505263</v>
      </c>
      <c r="J3">
        <v>0.86</v>
      </c>
      <c r="K3">
        <v>0.94</v>
      </c>
      <c r="L3">
        <v>1.06</v>
      </c>
      <c r="M3">
        <v>1.18</v>
      </c>
    </row>
    <row r="4" spans="1:17" x14ac:dyDescent="0.4">
      <c r="A4" t="s">
        <v>39</v>
      </c>
      <c r="B4" t="s">
        <v>40</v>
      </c>
      <c r="C4" t="s">
        <v>38</v>
      </c>
      <c r="D4" s="2">
        <v>144050000000</v>
      </c>
      <c r="E4">
        <v>2.0710000000000002</v>
      </c>
      <c r="F4">
        <f>Main!$C$5</f>
        <v>290000</v>
      </c>
      <c r="G4">
        <v>2</v>
      </c>
      <c r="H4">
        <f>D4*F4^(-E4)</f>
        <v>0.7012728235046175</v>
      </c>
      <c r="I4">
        <f>IF(F4&gt;=65000,D4*F4^(-E4),D5*F5^(-E5))</f>
        <v>0.7012728235046175</v>
      </c>
      <c r="J4">
        <v>0.81</v>
      </c>
      <c r="K4">
        <v>0.91</v>
      </c>
      <c r="L4">
        <v>1.1200000000000001</v>
      </c>
      <c r="M4">
        <v>1.44</v>
      </c>
      <c r="N4">
        <f>IF($H$4=$I$4,J4,J5)</f>
        <v>0.81</v>
      </c>
      <c r="O4">
        <f>IF($H$4=$I$4,K4,K5)</f>
        <v>0.91</v>
      </c>
      <c r="P4">
        <f>IF($H$4=$I$4,L4,L5)</f>
        <v>1.1200000000000001</v>
      </c>
      <c r="Q4">
        <f>IF($H$4=$I$4,M4,M5)</f>
        <v>1.44</v>
      </c>
    </row>
    <row r="5" spans="1:17" x14ac:dyDescent="0.4">
      <c r="A5" t="s">
        <v>39</v>
      </c>
      <c r="B5" t="s">
        <v>41</v>
      </c>
      <c r="C5" t="s">
        <v>38</v>
      </c>
      <c r="D5">
        <v>8104</v>
      </c>
      <c r="E5">
        <v>0.63900000000000001</v>
      </c>
      <c r="F5">
        <f>Main!$C$5</f>
        <v>290000</v>
      </c>
      <c r="H5">
        <f>D5*F5^(-E5)</f>
        <v>2.6195525293817825</v>
      </c>
      <c r="J5">
        <v>0.85</v>
      </c>
      <c r="K5">
        <v>0.95</v>
      </c>
      <c r="L5">
        <v>1.06</v>
      </c>
      <c r="M5">
        <v>1.25</v>
      </c>
    </row>
    <row r="6" spans="1:17" x14ac:dyDescent="0.4">
      <c r="A6" t="s">
        <v>18</v>
      </c>
      <c r="C6" t="s">
        <v>38</v>
      </c>
      <c r="D6">
        <v>5247</v>
      </c>
      <c r="E6">
        <v>0.61</v>
      </c>
      <c r="F6">
        <f>Main!$C$5</f>
        <v>290000</v>
      </c>
      <c r="G6">
        <v>3</v>
      </c>
      <c r="H6">
        <f t="shared" si="1"/>
        <v>2.4425771245099495</v>
      </c>
      <c r="I6">
        <f>D6*F6^(-E6)</f>
        <v>2.4425771245099495</v>
      </c>
      <c r="J6">
        <v>0.82</v>
      </c>
      <c r="K6">
        <v>0.93</v>
      </c>
      <c r="L6">
        <v>1.08</v>
      </c>
      <c r="M6">
        <v>1.28</v>
      </c>
      <c r="N6">
        <v>0.82</v>
      </c>
      <c r="O6">
        <v>0.93</v>
      </c>
      <c r="P6">
        <v>1.08</v>
      </c>
      <c r="Q6">
        <v>1.28</v>
      </c>
    </row>
    <row r="7" spans="1:17" x14ac:dyDescent="0.4">
      <c r="A7" t="s">
        <v>20</v>
      </c>
      <c r="C7" t="s">
        <v>38</v>
      </c>
      <c r="D7">
        <v>1984</v>
      </c>
      <c r="E7">
        <v>0.48899999999999999</v>
      </c>
      <c r="F7">
        <f>Main!$C$5</f>
        <v>290000</v>
      </c>
      <c r="G7">
        <v>4</v>
      </c>
      <c r="H7">
        <f t="shared" si="1"/>
        <v>4.2308638204633802</v>
      </c>
      <c r="I7">
        <f>D7*F7^(-E7)</f>
        <v>4.2308638204633802</v>
      </c>
      <c r="J7">
        <v>0.83</v>
      </c>
      <c r="K7">
        <v>0.94</v>
      </c>
      <c r="L7">
        <v>1.07</v>
      </c>
      <c r="M7">
        <v>1.19</v>
      </c>
      <c r="N7">
        <v>0.83</v>
      </c>
      <c r="O7">
        <v>0.94</v>
      </c>
      <c r="P7">
        <v>1.07</v>
      </c>
      <c r="Q7">
        <v>1.19</v>
      </c>
    </row>
    <row r="8" spans="1:17" x14ac:dyDescent="0.4">
      <c r="A8" t="s">
        <v>42</v>
      </c>
      <c r="B8" t="s">
        <v>43</v>
      </c>
      <c r="C8" t="s">
        <v>38</v>
      </c>
      <c r="D8">
        <v>31948</v>
      </c>
      <c r="E8">
        <v>0.79200000000000004</v>
      </c>
      <c r="F8">
        <f>Main!$C$5</f>
        <v>290000</v>
      </c>
      <c r="G8">
        <v>5</v>
      </c>
      <c r="H8">
        <f t="shared" si="1"/>
        <v>1.5073859445488138</v>
      </c>
      <c r="I8">
        <f>IF(F8&gt;20000,D8*F8^(-E8),D9*F9^(-E9))</f>
        <v>1.5073859445488138</v>
      </c>
      <c r="J8">
        <v>0.83</v>
      </c>
      <c r="K8">
        <v>0.94</v>
      </c>
      <c r="L8">
        <v>1.06</v>
      </c>
      <c r="M8">
        <v>1.19</v>
      </c>
      <c r="N8">
        <v>0.83</v>
      </c>
      <c r="O8">
        <v>0.94</v>
      </c>
      <c r="P8">
        <v>1.06</v>
      </c>
      <c r="Q8">
        <v>1.19</v>
      </c>
    </row>
    <row r="9" spans="1:17" x14ac:dyDescent="0.4">
      <c r="A9" t="s">
        <v>42</v>
      </c>
      <c r="B9" t="s">
        <v>44</v>
      </c>
      <c r="C9" t="s">
        <v>38</v>
      </c>
      <c r="D9">
        <v>588</v>
      </c>
      <c r="E9">
        <v>0.38850000000000001</v>
      </c>
      <c r="F9">
        <f>Main!$C$5</f>
        <v>290000</v>
      </c>
      <c r="H9">
        <f t="shared" si="1"/>
        <v>4.4384946822802682</v>
      </c>
      <c r="J9">
        <v>0.83</v>
      </c>
      <c r="K9">
        <v>0.94</v>
      </c>
      <c r="L9">
        <v>1.06</v>
      </c>
      <c r="M9">
        <v>1.19</v>
      </c>
      <c r="N9">
        <v>0.83</v>
      </c>
      <c r="O9">
        <v>0.94</v>
      </c>
      <c r="P9">
        <v>1.06</v>
      </c>
      <c r="Q9">
        <v>1.19</v>
      </c>
    </row>
    <row r="10" spans="1:17" x14ac:dyDescent="0.4">
      <c r="A10" t="s">
        <v>45</v>
      </c>
      <c r="C10" t="s">
        <v>38</v>
      </c>
      <c r="D10">
        <v>4600</v>
      </c>
      <c r="E10">
        <v>0.55700000000000005</v>
      </c>
      <c r="F10">
        <f>Main!$C$5</f>
        <v>290000</v>
      </c>
      <c r="G10">
        <v>6</v>
      </c>
      <c r="H10">
        <f t="shared" si="1"/>
        <v>4.1706346479523901</v>
      </c>
      <c r="I10">
        <f>D10*F10^(-E10)</f>
        <v>4.1706346479523901</v>
      </c>
      <c r="J10">
        <v>0.78</v>
      </c>
      <c r="K10">
        <v>0.91</v>
      </c>
      <c r="L10">
        <v>1.07</v>
      </c>
      <c r="M10">
        <v>1.2</v>
      </c>
      <c r="N10">
        <v>0.78</v>
      </c>
      <c r="O10">
        <v>0.91</v>
      </c>
      <c r="P10">
        <v>1.07</v>
      </c>
      <c r="Q10">
        <v>1.2</v>
      </c>
    </row>
    <row r="11" spans="1:17" x14ac:dyDescent="0.4">
      <c r="A11" t="s">
        <v>46</v>
      </c>
      <c r="C11" t="s">
        <v>38</v>
      </c>
      <c r="D11">
        <v>5119</v>
      </c>
      <c r="E11">
        <v>0.622</v>
      </c>
      <c r="F11">
        <f>Main!$C$5</f>
        <v>290000</v>
      </c>
      <c r="G11">
        <v>7</v>
      </c>
      <c r="H11">
        <f t="shared" si="1"/>
        <v>2.0491491717692738</v>
      </c>
      <c r="I11">
        <f>D11*F11^(-E11)</f>
        <v>2.0491491717692738</v>
      </c>
      <c r="J11">
        <v>0.87</v>
      </c>
      <c r="K11">
        <v>0.96</v>
      </c>
      <c r="L11">
        <v>1.06</v>
      </c>
      <c r="M11">
        <v>1.1399999999999999</v>
      </c>
      <c r="N11">
        <v>0.87</v>
      </c>
      <c r="O11">
        <v>0.96</v>
      </c>
      <c r="P11">
        <v>1.06</v>
      </c>
      <c r="Q11">
        <v>1.1399999999999999</v>
      </c>
    </row>
    <row r="12" spans="1:17" x14ac:dyDescent="0.4">
      <c r="A12" t="s">
        <v>47</v>
      </c>
      <c r="B12" t="s">
        <v>48</v>
      </c>
      <c r="C12" s="1" t="s">
        <v>64</v>
      </c>
      <c r="D12" s="2">
        <v>9.827</v>
      </c>
      <c r="E12">
        <v>0</v>
      </c>
      <c r="F12">
        <f>Main!$C$5</f>
        <v>290000</v>
      </c>
      <c r="G12">
        <v>8</v>
      </c>
      <c r="H12">
        <f>D12*F12^(-E12)</f>
        <v>9.827</v>
      </c>
      <c r="I12">
        <f>IF(Main!C5&gt;=100000,D12*F12^(-E12),IF(Main!C5&gt;65000,D13*F13^(-E13),D14*F14^(-E14)))</f>
        <v>9.827</v>
      </c>
      <c r="J12">
        <v>0.89</v>
      </c>
      <c r="K12">
        <v>0.98</v>
      </c>
      <c r="L12">
        <v>1.06</v>
      </c>
      <c r="M12">
        <v>1.1299999999999999</v>
      </c>
      <c r="N12">
        <f>IF($H$12=$I$12,J12,J13)</f>
        <v>0.89</v>
      </c>
      <c r="O12">
        <f>IF($H$12=$I$12,K12,K13)</f>
        <v>0.98</v>
      </c>
      <c r="P12">
        <f>IF($H$12=$I$12,L12,L13)</f>
        <v>1.06</v>
      </c>
      <c r="Q12">
        <f>IF($H$12=$I$12,M12,M13)</f>
        <v>1.1299999999999999</v>
      </c>
    </row>
    <row r="13" spans="1:17" x14ac:dyDescent="0.4">
      <c r="A13" t="s">
        <v>47</v>
      </c>
      <c r="B13" t="s">
        <v>49</v>
      </c>
      <c r="C13" t="s">
        <v>38</v>
      </c>
      <c r="D13" s="2">
        <v>144790000000000</v>
      </c>
      <c r="E13">
        <v>2.673</v>
      </c>
      <c r="F13">
        <f>Main!$C$5</f>
        <v>290000</v>
      </c>
      <c r="H13">
        <f>D13*F13^(-E13)</f>
        <v>0.36286804067327977</v>
      </c>
      <c r="J13">
        <v>0.78</v>
      </c>
      <c r="K13">
        <v>0.92</v>
      </c>
      <c r="L13">
        <v>1.1000000000000001</v>
      </c>
      <c r="M13">
        <v>1.37</v>
      </c>
    </row>
    <row r="14" spans="1:17" x14ac:dyDescent="0.4">
      <c r="A14" t="s">
        <v>47</v>
      </c>
      <c r="B14" t="s">
        <v>41</v>
      </c>
      <c r="C14">
        <v>65000</v>
      </c>
      <c r="D14" s="2">
        <v>144790000000000</v>
      </c>
      <c r="E14">
        <v>2.673</v>
      </c>
      <c r="F14">
        <v>65000</v>
      </c>
      <c r="H14">
        <f>D14*F14^(-E14)</f>
        <v>19.761557292658992</v>
      </c>
      <c r="J14">
        <v>0.78</v>
      </c>
      <c r="K14">
        <v>0.92</v>
      </c>
      <c r="L14">
        <v>1.1000000000000001</v>
      </c>
      <c r="M14">
        <v>1.37</v>
      </c>
    </row>
    <row r="15" spans="1:17" x14ac:dyDescent="0.4">
      <c r="A15" t="s">
        <v>50</v>
      </c>
      <c r="B15" t="s">
        <v>68</v>
      </c>
      <c r="C15">
        <v>57700</v>
      </c>
      <c r="D15">
        <v>3627</v>
      </c>
      <c r="E15">
        <v>0.59</v>
      </c>
      <c r="F15">
        <v>57700</v>
      </c>
      <c r="G15">
        <v>9</v>
      </c>
      <c r="H15">
        <f>D15*F15^(-E15)</f>
        <v>5.6292926358336688</v>
      </c>
      <c r="I15">
        <f>IF(Main!C6&gt;=57700,D15*F15^(-E15),IF(Main!C6&gt;30000,D16*F16^(-E16),D17*F17^(-E17)))</f>
        <v>6.9876663623019706</v>
      </c>
      <c r="J15">
        <v>0.86</v>
      </c>
      <c r="K15">
        <v>0.94</v>
      </c>
      <c r="L15">
        <v>1.06</v>
      </c>
      <c r="M15">
        <v>1.1599999999999999</v>
      </c>
      <c r="N15">
        <v>0.86</v>
      </c>
      <c r="O15">
        <v>0.94</v>
      </c>
      <c r="P15">
        <v>1.06</v>
      </c>
      <c r="Q15">
        <v>1.1599999999999999</v>
      </c>
    </row>
    <row r="16" spans="1:17" x14ac:dyDescent="0.4">
      <c r="A16" t="s">
        <v>50</v>
      </c>
      <c r="B16" t="s">
        <v>69</v>
      </c>
      <c r="C16" t="s">
        <v>51</v>
      </c>
      <c r="D16">
        <v>3627</v>
      </c>
      <c r="E16">
        <v>0.59</v>
      </c>
      <c r="F16">
        <f>Main!$C$6</f>
        <v>40000</v>
      </c>
      <c r="H16">
        <f t="shared" ref="H16:H17" si="2">D16*F16^(-E16)</f>
        <v>6.9876663623019706</v>
      </c>
      <c r="J16">
        <v>0.86</v>
      </c>
      <c r="K16">
        <v>0.94</v>
      </c>
      <c r="L16">
        <v>1.06</v>
      </c>
      <c r="M16">
        <v>1.1599999999999999</v>
      </c>
      <c r="N16">
        <v>0.86</v>
      </c>
      <c r="O16">
        <v>0.94</v>
      </c>
      <c r="P16">
        <v>1.06</v>
      </c>
      <c r="Q16">
        <v>1.1599999999999999</v>
      </c>
    </row>
    <row r="17" spans="1:17" x14ac:dyDescent="0.4">
      <c r="A17" t="s">
        <v>50</v>
      </c>
      <c r="B17" t="s">
        <v>70</v>
      </c>
      <c r="C17" t="s">
        <v>51</v>
      </c>
      <c r="D17">
        <v>330</v>
      </c>
      <c r="E17">
        <v>0.32900000000000001</v>
      </c>
      <c r="F17">
        <f>Main!$C$6</f>
        <v>40000</v>
      </c>
      <c r="H17">
        <f t="shared" si="2"/>
        <v>10.102670827661944</v>
      </c>
      <c r="J17">
        <v>0.86</v>
      </c>
      <c r="K17">
        <v>0.94</v>
      </c>
      <c r="L17">
        <v>1.06</v>
      </c>
      <c r="M17">
        <v>1.1599999999999999</v>
      </c>
      <c r="N17">
        <v>0.86</v>
      </c>
      <c r="O17">
        <v>0.94</v>
      </c>
      <c r="P17">
        <v>1.06</v>
      </c>
      <c r="Q17">
        <v>1.1599999999999999</v>
      </c>
    </row>
    <row r="18" spans="1:17" x14ac:dyDescent="0.4">
      <c r="A18" t="s">
        <v>52</v>
      </c>
      <c r="C18" t="s">
        <v>71</v>
      </c>
      <c r="D18">
        <v>1967</v>
      </c>
      <c r="E18">
        <v>0.48499999999999999</v>
      </c>
      <c r="F18">
        <f>Main!$C$6</f>
        <v>40000</v>
      </c>
      <c r="G18">
        <v>10</v>
      </c>
      <c r="H18">
        <f>D18*F18^(-E18)</f>
        <v>11.529361700225165</v>
      </c>
      <c r="I18">
        <f>D18*F18^(-E18)</f>
        <v>11.529361700225165</v>
      </c>
      <c r="J18">
        <v>0.76</v>
      </c>
      <c r="K18">
        <v>0.89</v>
      </c>
      <c r="L18">
        <v>1.08</v>
      </c>
      <c r="M18">
        <v>1.27</v>
      </c>
      <c r="N18">
        <v>0.76</v>
      </c>
      <c r="O18">
        <v>0.89</v>
      </c>
      <c r="P18">
        <v>1.08</v>
      </c>
      <c r="Q18">
        <v>1.27</v>
      </c>
    </row>
    <row r="19" spans="1:17" x14ac:dyDescent="0.4">
      <c r="A19" t="s">
        <v>53</v>
      </c>
      <c r="C19" t="s">
        <v>51</v>
      </c>
      <c r="D19">
        <v>2023</v>
      </c>
      <c r="E19">
        <v>0.46</v>
      </c>
      <c r="F19">
        <f>Main!$C$6</f>
        <v>40000</v>
      </c>
      <c r="G19">
        <v>11</v>
      </c>
      <c r="H19">
        <f t="shared" si="1"/>
        <v>15.454262572369197</v>
      </c>
      <c r="I19">
        <f>D19*F19^(-E19)</f>
        <v>15.454262572369197</v>
      </c>
      <c r="J19">
        <v>0.76</v>
      </c>
      <c r="K19">
        <v>0.92</v>
      </c>
      <c r="L19">
        <v>1.1399999999999999</v>
      </c>
      <c r="M19">
        <v>1.3</v>
      </c>
      <c r="N19">
        <v>0.76</v>
      </c>
      <c r="O19">
        <v>0.92</v>
      </c>
      <c r="P19">
        <v>1.1399999999999999</v>
      </c>
      <c r="Q19">
        <v>1.3</v>
      </c>
    </row>
    <row r="20" spans="1:17" x14ac:dyDescent="0.4">
      <c r="A20" t="s">
        <v>72</v>
      </c>
      <c r="C20" t="s">
        <v>71</v>
      </c>
      <c r="D20">
        <v>6167</v>
      </c>
      <c r="E20">
        <v>0.46</v>
      </c>
      <c r="F20">
        <f>Main!$C$6</f>
        <v>40000</v>
      </c>
      <c r="G20">
        <v>12</v>
      </c>
      <c r="H20">
        <f>D20*F20^(-E20)</f>
        <v>47.111437115077031</v>
      </c>
      <c r="I20">
        <f>D20*F20^(-E20)</f>
        <v>47.111437115077031</v>
      </c>
      <c r="J20">
        <v>0.76</v>
      </c>
      <c r="K20">
        <v>0.92</v>
      </c>
      <c r="L20">
        <v>1.1399999999999999</v>
      </c>
      <c r="M20">
        <v>1.3</v>
      </c>
      <c r="N20">
        <v>0.76</v>
      </c>
      <c r="O20">
        <v>0.92</v>
      </c>
      <c r="P20">
        <v>1.1399999999999999</v>
      </c>
      <c r="Q20">
        <v>1.3</v>
      </c>
    </row>
    <row r="21" spans="1:17" x14ac:dyDescent="0.4">
      <c r="A21" t="s">
        <v>28</v>
      </c>
      <c r="C21" t="s">
        <v>51</v>
      </c>
      <c r="D21">
        <v>930</v>
      </c>
      <c r="E21">
        <v>0.38300000000000001</v>
      </c>
      <c r="F21">
        <f>Main!$C$6</f>
        <v>40000</v>
      </c>
      <c r="G21">
        <v>13</v>
      </c>
      <c r="H21">
        <f>D21*F21^(-E21)</f>
        <v>16.065489842228985</v>
      </c>
      <c r="I21">
        <f>D21*F21^(-E21)</f>
        <v>16.065489842228985</v>
      </c>
      <c r="J21">
        <v>0.87</v>
      </c>
      <c r="K21">
        <v>0.95</v>
      </c>
      <c r="L21">
        <v>1.06</v>
      </c>
      <c r="M21">
        <v>1.1599999999999999</v>
      </c>
      <c r="N21">
        <v>0.87</v>
      </c>
      <c r="O21">
        <v>0.95</v>
      </c>
      <c r="P21">
        <v>1.06</v>
      </c>
      <c r="Q21">
        <v>1.1599999999999999</v>
      </c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9A08-2D94-4031-B938-8BB243EBFC8C}">
  <dimension ref="A1:B4"/>
  <sheetViews>
    <sheetView workbookViewId="0">
      <selection activeCell="C18" sqref="C18"/>
    </sheetView>
  </sheetViews>
  <sheetFormatPr defaultRowHeight="18.75" x14ac:dyDescent="0.4"/>
  <sheetData>
    <row r="1" spans="1:2" x14ac:dyDescent="0.4">
      <c r="A1">
        <v>2023</v>
      </c>
      <c r="B1">
        <v>5</v>
      </c>
    </row>
    <row r="2" spans="1:2" x14ac:dyDescent="0.4">
      <c r="A2">
        <v>2024</v>
      </c>
      <c r="B2">
        <v>7</v>
      </c>
    </row>
    <row r="3" spans="1:2" x14ac:dyDescent="0.4">
      <c r="A3">
        <v>2025</v>
      </c>
      <c r="B3">
        <v>9</v>
      </c>
    </row>
    <row r="4" spans="1:2" x14ac:dyDescent="0.4">
      <c r="A4">
        <v>2026</v>
      </c>
      <c r="B4">
        <v>11</v>
      </c>
    </row>
  </sheetData>
  <sheetProtection algorithmName="SHA-512" hashValue="B7tG4mNoCry+4rLBaDq7JdXcgCsXsGx6GM6opkQOuf6QQNw4LBAGpEuNEJci/56Oexejp+i6UElVdmBnlmVj+g==" saltValue="XiWiH777rzZCLc7VHM48uw==" spinCount="100000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</vt:lpstr>
      <vt:lpstr>ship type</vt:lpstr>
      <vt:lpstr>ref CII</vt:lpstr>
      <vt:lpstr>reduction factor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classnk</dc:creator>
  <cp:lastModifiedBy>Tomohiro Harada</cp:lastModifiedBy>
  <dcterms:created xsi:type="dcterms:W3CDTF">2021-06-09T06:31:36Z</dcterms:created>
  <dcterms:modified xsi:type="dcterms:W3CDTF">2022-06-21T03:01:04Z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28679</vt:lpwstr>
  </property>
  <property fmtid="{D5CDD505-2E9C-101B-9397-08002B2CF9AE}" pid="3" name="NXPowerLiteSettings">
    <vt:lpwstr>C700052003A000</vt:lpwstr>
  </property>
  <property fmtid="{D5CDD505-2E9C-101B-9397-08002B2CF9AE}" pid="4" name="NXPowerLiteVersion">
    <vt:lpwstr>D8.0.5</vt:lpwstr>
  </property>
</Properties>
</file>